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Лист1!$A$1:$M$43</definedName>
  </definedName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8"/>
  <c r="N25"/>
  <c r="N26"/>
  <c r="N24"/>
  <c r="D23"/>
  <c r="N22"/>
  <c r="N21"/>
  <c r="N20"/>
  <c r="D32"/>
  <c r="N32" s="1"/>
  <c r="D31"/>
  <c r="H31" s="1"/>
  <c r="I31" s="1"/>
  <c r="N30"/>
  <c r="N23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M22" s="1"/>
  <c r="L21"/>
  <c r="M21" s="1"/>
  <c r="L20"/>
  <c r="H36"/>
  <c r="I36"/>
  <c r="J36" s="1"/>
  <c r="I30"/>
  <c r="J30"/>
  <c r="H32"/>
  <c r="I32" s="1"/>
  <c r="J32" s="1"/>
  <c r="A32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/>
  <c r="J9"/>
  <c r="N31" l="1"/>
  <c r="N33" s="1"/>
  <c r="H27"/>
  <c r="I27"/>
  <c r="J8"/>
  <c r="J27" s="1"/>
  <c r="J31"/>
  <c r="I33"/>
  <c r="J33"/>
  <c r="J34" l="1"/>
  <c r="J37" s="1"/>
  <c r="N34"/>
  <c r="N37" s="1"/>
  <c r="I34"/>
  <c r="G34" s="1"/>
  <c r="G37" s="1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<sst xmlns="http://schemas.openxmlformats.org/spreadsheetml/2006/main" count="103" uniqueCount="65">
  <si>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</si>
  <si>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</si>
  <si>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</si>
  <si>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</si>
  <si>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</si>
  <si>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</si>
  <si>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</si>
  <si>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</si>
  <si>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</si>
  <si>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</si>
  <si>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</si>
  <si>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</si>
  <si>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</si>
  <si>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</si>
  <si>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</si>
  <si>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</si>
  <si>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</si>
  <si>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</si>
  <si>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</si>
  <si>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</si>
  <si>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</si>
  <si>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</si>
  <si>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</si>
  <si>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</si>
  <si>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</si>
  <si>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</si>
  <si>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</si>
  <si>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</si>
  <si>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</si>
  <si>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</si>
  <si>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</si>
  <si>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</si>
  <si>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</si>
  <si>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</si>
  <si>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</si>
  <si>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</si>
  <si>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</si>
  <si>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</si>
  <si>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</si>
  <si>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</si>
  <si>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</si>
  <si>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</si>
  <si>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</si>
  <si>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</si>
  <si>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</si>
  <si>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</si>
  <si>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убрать при печати</t>
  </si>
  <si>
    <t>Площадь ОИ</t>
  </si>
  <si>
    <t>г. Рязань ул. Новаторов д . 19 корп. 1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</si>
  <si>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</si>
  <si>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</si>
  <si>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</si>
  <si>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</si>
  <si>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</si>
  <si>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</si>
  <si>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</si>
  <si>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</si>
  <si>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</si>
  <si>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</si>
  <si>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</si>
  <si>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</si>
  <si>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</si>
  <si>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</si>
  <si>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01.04.2019г.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</si>
  <si>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  на 2025г. (Перечень и стоимость работ по содержанию, управлению и текущему ремонту общего имущества МКД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</si>
</sst>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Alignment="1"/>
    <xf numFmtId="4" fontId="6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Alignment="1"/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4" fontId="9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Border="1" applyAlignment="1"/>
    <xf numFmtId="4" fontId="4" fillId="2" borderId="2" xfId="0" applyNumberFormat="1" applyFont="1" applyFill="1" applyBorder="1" applyAlignment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Border="1" applyAlignment="1">
      <alignment horizontal="left" wrapText="1"/>
    </xf>
    <xf numFmtId="0" fontId="0" fillId="0" borderId="0" xfId="0" applyAlignment="1"/>
    <xf numFmtId="0" fontId="4" fillId="0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/>
    <xf numFmtId="0" fontId="6" fillId="0" borderId="2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4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topLeftCell="A17" zoomScale="75" zoomScaleNormal="75" workbookViewId="0">
      <selection sqref="A1:O41"/>
    </sheetView>
  </sheetViews>
  <sheetFormatPr defaultColWidth="8.85546875" defaultRowHeight="15.75"/>
  <cols>
    <col min="1" max="1" width="15.42578125" style="1" customWidth="1"/>
    <col min="2" max="2" width="49.85546875" style="1" customWidth="1"/>
    <col min="3" max="3" width="24.85546875" style="1" customWidth="1"/>
    <col min="4" max="4" width="14.7109375" style="1" hidden="1" customWidth="1"/>
    <col min="5" max="5" width="12.42578125" style="1" customWidth="1"/>
    <col min="6" max="6" width="27" style="23" customWidth="1"/>
    <col min="7" max="7" width="14.7109375" style="54" hidden="1" customWidth="1"/>
    <col min="8" max="9" width="15.5703125" style="53" hidden="1" customWidth="1"/>
    <col min="10" max="10" width="13.140625" style="53" hidden="1" customWidth="1"/>
    <col min="11" max="11" width="13.85546875" style="28" hidden="1" customWidth="1"/>
    <col min="12" max="12" width="16.85546875" style="28" hidden="1" customWidth="1"/>
    <col min="13" max="13" width="14.5703125" style="28" hidden="1" customWidth="1"/>
    <col min="14" max="14" width="18.5703125" style="1" customWidth="1"/>
    <col min="15" max="16384" width="8.85546875" style="1"/>
  </cols>
  <sheetData>
    <row r="1" spans="1:17">
      <c r="F1" s="2"/>
      <c r="G1" s="52"/>
      <c r="N1" s="1" t="s">
        <v>62</v>
      </c>
    </row>
    <row r="2" spans="1:17">
      <c r="E2" s="101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7" s="3" customFormat="1" ht="53.25" customHeight="1">
      <c r="A3" s="102" t="s">
        <v>64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7" s="3" customFormat="1" ht="3.75" customHeight="1">
      <c r="A4" s="26"/>
      <c r="B4" s="26"/>
      <c r="C4" s="26"/>
      <c r="D4" s="26"/>
      <c r="E4" s="26"/>
      <c r="F4" s="26"/>
      <c r="G4" s="39"/>
      <c r="H4" s="29"/>
      <c r="I4" s="29"/>
      <c r="J4" s="55"/>
      <c r="K4" s="30"/>
      <c r="L4" s="30"/>
      <c r="M4" s="30"/>
    </row>
    <row r="5" spans="1:17" ht="24.75" customHeight="1">
      <c r="A5" s="4"/>
      <c r="B5" s="4" t="s">
        <v>48</v>
      </c>
      <c r="C5" s="4" t="s">
        <v>0</v>
      </c>
      <c r="D5" s="5">
        <v>3901.1</v>
      </c>
      <c r="E5" s="5">
        <v>3901.1</v>
      </c>
      <c r="F5" s="6"/>
      <c r="G5" s="56"/>
      <c r="H5" s="31"/>
      <c r="I5" s="31"/>
      <c r="K5" s="31"/>
      <c r="L5" s="31"/>
    </row>
    <row r="6" spans="1:17" ht="20.25" customHeight="1">
      <c r="A6" s="25" t="s">
        <v>1</v>
      </c>
      <c r="B6" s="25"/>
      <c r="C6" s="25"/>
      <c r="D6" s="25"/>
      <c r="E6" s="25"/>
      <c r="F6" s="25"/>
      <c r="G6" s="57"/>
      <c r="H6" s="58"/>
      <c r="I6" s="58"/>
      <c r="K6" s="103" t="s">
        <v>46</v>
      </c>
      <c r="L6" s="103"/>
      <c r="M6" s="103"/>
    </row>
    <row r="7" spans="1:17" ht="55.5" customHeight="1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8" t="s">
        <v>53</v>
      </c>
      <c r="G7" s="8"/>
      <c r="H7" s="11" t="s">
        <v>8</v>
      </c>
      <c r="I7" s="11" t="s">
        <v>7</v>
      </c>
      <c r="J7" s="65" t="s">
        <v>45</v>
      </c>
      <c r="K7" s="32" t="s">
        <v>47</v>
      </c>
      <c r="L7" s="32"/>
      <c r="M7" s="67"/>
      <c r="N7" s="65" t="s">
        <v>45</v>
      </c>
      <c r="O7" s="27"/>
      <c r="P7" s="27"/>
      <c r="Q7" s="27"/>
    </row>
    <row r="8" spans="1:17" ht="55.5" customHeight="1">
      <c r="A8" s="7">
        <v>1</v>
      </c>
      <c r="B8" s="9" t="s">
        <v>12</v>
      </c>
      <c r="C8" s="7" t="s">
        <v>13</v>
      </c>
      <c r="D8" s="10">
        <v>0.33</v>
      </c>
      <c r="E8" s="10">
        <v>3901.1</v>
      </c>
      <c r="F8" s="8" t="s">
        <v>14</v>
      </c>
      <c r="G8" s="8">
        <v>12</v>
      </c>
      <c r="H8" s="59">
        <f t="shared" ref="H8:H26" si="0">D8*E8</f>
        <v>1287.3630000000001</v>
      </c>
      <c r="I8" s="11">
        <f t="shared" ref="I8:I26" si="1">G8*H8</f>
        <v>15448.356</v>
      </c>
      <c r="J8" s="59">
        <f>I8/G8/E8</f>
        <v>0.33</v>
      </c>
      <c r="K8" s="32"/>
      <c r="L8" s="32"/>
      <c r="M8" s="68"/>
      <c r="N8" s="70">
        <f>J8*1.04*1.092*1.072*1.12</f>
        <v>0.4499691356160001</v>
      </c>
    </row>
    <row r="9" spans="1:17" ht="54.75" customHeight="1">
      <c r="A9" s="7">
        <f t="shared" ref="A9:A26" si="2">A8+1</f>
        <v>2</v>
      </c>
      <c r="B9" s="38" t="s">
        <v>49</v>
      </c>
      <c r="C9" s="7" t="s">
        <v>13</v>
      </c>
      <c r="D9" s="10">
        <v>0.08</v>
      </c>
      <c r="E9" s="10">
        <v>3901.1</v>
      </c>
      <c r="F9" s="8" t="s">
        <v>14</v>
      </c>
      <c r="G9" s="8">
        <v>12</v>
      </c>
      <c r="H9" s="59">
        <f t="shared" si="0"/>
        <v>312.08800000000002</v>
      </c>
      <c r="I9" s="11">
        <f t="shared" si="1"/>
        <v>3745.0560000000005</v>
      </c>
      <c r="J9" s="59">
        <f t="shared" ref="J9:J26" si="3">I9/G9/E9</f>
        <v>0.08</v>
      </c>
      <c r="K9" s="32"/>
      <c r="L9" s="32"/>
      <c r="M9" s="68"/>
      <c r="N9" s="70">
        <f t="shared" ref="N9:N19" si="4">J9*1.04*1.092*1.072*1.12</f>
        <v>0.10908342681600004</v>
      </c>
    </row>
    <row r="10" spans="1:17" ht="47.25">
      <c r="A10" s="7">
        <f t="shared" si="2"/>
        <v>3</v>
      </c>
      <c r="B10" s="38" t="s">
        <v>16</v>
      </c>
      <c r="C10" s="7" t="s">
        <v>15</v>
      </c>
      <c r="D10" s="10">
        <v>0.16</v>
      </c>
      <c r="E10" s="10">
        <v>3901.1</v>
      </c>
      <c r="F10" s="8" t="s">
        <v>14</v>
      </c>
      <c r="G10" s="8">
        <v>12</v>
      </c>
      <c r="H10" s="59">
        <f t="shared" si="0"/>
        <v>624.17600000000004</v>
      </c>
      <c r="I10" s="11">
        <f t="shared" si="1"/>
        <v>7490.112000000001</v>
      </c>
      <c r="J10" s="59">
        <f t="shared" si="3"/>
        <v>0.16</v>
      </c>
      <c r="K10" s="32"/>
      <c r="L10" s="32"/>
      <c r="M10" s="68"/>
      <c r="N10" s="70">
        <f t="shared" si="4"/>
        <v>0.21816685363200009</v>
      </c>
    </row>
    <row r="11" spans="1:17" ht="54" customHeight="1">
      <c r="A11" s="7">
        <f t="shared" si="2"/>
        <v>4</v>
      </c>
      <c r="B11" s="38" t="s">
        <v>17</v>
      </c>
      <c r="C11" s="7" t="s">
        <v>18</v>
      </c>
      <c r="D11" s="10">
        <v>7.0000000000000007E-2</v>
      </c>
      <c r="E11" s="10">
        <v>3901.1</v>
      </c>
      <c r="F11" s="8" t="s">
        <v>14</v>
      </c>
      <c r="G11" s="8">
        <v>12</v>
      </c>
      <c r="H11" s="59">
        <f t="shared" si="0"/>
        <v>273.077</v>
      </c>
      <c r="I11" s="11">
        <f t="shared" si="1"/>
        <v>3276.924</v>
      </c>
      <c r="J11" s="59">
        <f t="shared" si="3"/>
        <v>7.0000000000000007E-2</v>
      </c>
      <c r="K11" s="32"/>
      <c r="L11" s="32"/>
      <c r="M11" s="68"/>
      <c r="N11" s="70">
        <f t="shared" si="4"/>
        <v>9.5447998464000025E-2</v>
      </c>
    </row>
    <row r="12" spans="1:17" ht="79.5" customHeight="1">
      <c r="A12" s="7">
        <f t="shared" si="2"/>
        <v>5</v>
      </c>
      <c r="B12" s="38" t="s">
        <v>19</v>
      </c>
      <c r="C12" s="7" t="s">
        <v>20</v>
      </c>
      <c r="D12" s="10">
        <v>0.04</v>
      </c>
      <c r="E12" s="10">
        <v>3901.1</v>
      </c>
      <c r="F12" s="8" t="s">
        <v>14</v>
      </c>
      <c r="G12" s="8">
        <v>12</v>
      </c>
      <c r="H12" s="59">
        <f t="shared" si="0"/>
        <v>156.04400000000001</v>
      </c>
      <c r="I12" s="11">
        <f t="shared" si="1"/>
        <v>1872.5280000000002</v>
      </c>
      <c r="J12" s="59">
        <f t="shared" si="3"/>
        <v>0.04</v>
      </c>
      <c r="K12" s="32"/>
      <c r="L12" s="32"/>
      <c r="M12" s="68"/>
      <c r="N12" s="70">
        <f t="shared" si="4"/>
        <v>5.4541713408000021E-2</v>
      </c>
    </row>
    <row r="13" spans="1:17" ht="63">
      <c r="A13" s="7">
        <f t="shared" si="2"/>
        <v>6</v>
      </c>
      <c r="B13" s="38" t="s">
        <v>22</v>
      </c>
      <c r="C13" s="7" t="s">
        <v>23</v>
      </c>
      <c r="D13" s="10">
        <v>0.2</v>
      </c>
      <c r="E13" s="10">
        <v>3901.1</v>
      </c>
      <c r="F13" s="8" t="s">
        <v>14</v>
      </c>
      <c r="G13" s="8">
        <v>12</v>
      </c>
      <c r="H13" s="59">
        <f t="shared" si="0"/>
        <v>780.22</v>
      </c>
      <c r="I13" s="11">
        <f t="shared" si="1"/>
        <v>9362.64</v>
      </c>
      <c r="J13" s="59">
        <f t="shared" si="3"/>
        <v>0.19999999999999998</v>
      </c>
      <c r="K13" s="32"/>
      <c r="L13" s="32"/>
      <c r="M13" s="68"/>
      <c r="N13" s="70">
        <f t="shared" si="4"/>
        <v>0.27270856704000002</v>
      </c>
    </row>
    <row r="14" spans="1:17" ht="54" customHeight="1">
      <c r="A14" s="7">
        <f t="shared" si="2"/>
        <v>7</v>
      </c>
      <c r="B14" s="38" t="s">
        <v>50</v>
      </c>
      <c r="C14" s="7" t="s">
        <v>25</v>
      </c>
      <c r="D14" s="10">
        <v>0.18000000000000002</v>
      </c>
      <c r="E14" s="10">
        <v>3901.1</v>
      </c>
      <c r="F14" s="8" t="s">
        <v>14</v>
      </c>
      <c r="G14" s="8">
        <v>12</v>
      </c>
      <c r="H14" s="59">
        <f t="shared" si="0"/>
        <v>702.19800000000009</v>
      </c>
      <c r="I14" s="11">
        <f t="shared" si="1"/>
        <v>8426.3760000000002</v>
      </c>
      <c r="J14" s="59">
        <f t="shared" si="3"/>
        <v>0.18</v>
      </c>
      <c r="K14" s="32"/>
      <c r="L14" s="32"/>
      <c r="M14" s="68"/>
      <c r="N14" s="70">
        <f t="shared" si="4"/>
        <v>0.24543771033600009</v>
      </c>
    </row>
    <row r="15" spans="1:17" ht="54.75" customHeight="1">
      <c r="A15" s="7">
        <f t="shared" si="2"/>
        <v>8</v>
      </c>
      <c r="B15" s="9" t="s">
        <v>26</v>
      </c>
      <c r="C15" s="7" t="s">
        <v>25</v>
      </c>
      <c r="D15" s="10">
        <v>0.19</v>
      </c>
      <c r="E15" s="10">
        <v>3901.1</v>
      </c>
      <c r="F15" s="8" t="s">
        <v>14</v>
      </c>
      <c r="G15" s="8">
        <v>12</v>
      </c>
      <c r="H15" s="59">
        <f t="shared" si="0"/>
        <v>741.20899999999995</v>
      </c>
      <c r="I15" s="11">
        <f t="shared" si="1"/>
        <v>8894.5079999999998</v>
      </c>
      <c r="J15" s="59">
        <f t="shared" si="3"/>
        <v>0.19</v>
      </c>
      <c r="K15" s="32"/>
      <c r="L15" s="32"/>
      <c r="M15" s="68"/>
      <c r="N15" s="70">
        <f t="shared" si="4"/>
        <v>0.25907313868800003</v>
      </c>
    </row>
    <row r="16" spans="1:17" ht="33" customHeight="1">
      <c r="A16" s="7">
        <f t="shared" si="2"/>
        <v>9</v>
      </c>
      <c r="B16" s="9" t="s">
        <v>51</v>
      </c>
      <c r="C16" s="7" t="s">
        <v>13</v>
      </c>
      <c r="D16" s="10">
        <v>0.52</v>
      </c>
      <c r="E16" s="10">
        <v>3901.1</v>
      </c>
      <c r="F16" s="13" t="s">
        <v>54</v>
      </c>
      <c r="G16" s="8">
        <v>12</v>
      </c>
      <c r="H16" s="59">
        <f t="shared" si="0"/>
        <v>2028.5720000000001</v>
      </c>
      <c r="I16" s="11">
        <f t="shared" si="1"/>
        <v>24342.864000000001</v>
      </c>
      <c r="J16" s="59">
        <f t="shared" si="3"/>
        <v>0.52</v>
      </c>
      <c r="K16" s="32"/>
      <c r="L16" s="32"/>
      <c r="M16" s="68"/>
      <c r="N16" s="70">
        <f t="shared" si="4"/>
        <v>0.70904227430400024</v>
      </c>
    </row>
    <row r="17" spans="1:15" ht="27" customHeight="1">
      <c r="A17" s="7">
        <f t="shared" si="2"/>
        <v>10</v>
      </c>
      <c r="B17" s="9" t="s">
        <v>27</v>
      </c>
      <c r="C17" s="7" t="s">
        <v>13</v>
      </c>
      <c r="D17" s="10">
        <v>0.44</v>
      </c>
      <c r="E17" s="10">
        <v>3901.1</v>
      </c>
      <c r="F17" s="13" t="s">
        <v>54</v>
      </c>
      <c r="G17" s="8">
        <v>12</v>
      </c>
      <c r="H17" s="59">
        <f t="shared" si="0"/>
        <v>1716.4839999999999</v>
      </c>
      <c r="I17" s="11">
        <f t="shared" si="1"/>
        <v>20597.807999999997</v>
      </c>
      <c r="J17" s="59">
        <f t="shared" si="3"/>
        <v>0.43999999999999995</v>
      </c>
      <c r="K17" s="32"/>
      <c r="L17" s="32"/>
      <c r="M17" s="68"/>
      <c r="N17" s="70">
        <f t="shared" si="4"/>
        <v>0.59995884748800021</v>
      </c>
    </row>
    <row r="18" spans="1:15" ht="30" customHeight="1">
      <c r="A18" s="7">
        <f t="shared" si="2"/>
        <v>11</v>
      </c>
      <c r="B18" s="9" t="s">
        <v>28</v>
      </c>
      <c r="C18" s="7" t="s">
        <v>25</v>
      </c>
      <c r="D18" s="10">
        <v>0.05</v>
      </c>
      <c r="E18" s="10">
        <v>3901.1</v>
      </c>
      <c r="F18" s="8" t="s">
        <v>29</v>
      </c>
      <c r="G18" s="8">
        <v>12</v>
      </c>
      <c r="H18" s="59">
        <f t="shared" si="0"/>
        <v>195.05500000000001</v>
      </c>
      <c r="I18" s="11">
        <f t="shared" si="1"/>
        <v>2340.66</v>
      </c>
      <c r="J18" s="59">
        <f t="shared" si="3"/>
        <v>4.9999999999999996E-2</v>
      </c>
      <c r="K18" s="32"/>
      <c r="L18" s="32"/>
      <c r="M18" s="68"/>
      <c r="N18" s="70">
        <f t="shared" si="4"/>
        <v>6.8177141760000004E-2</v>
      </c>
    </row>
    <row r="19" spans="1:15" ht="77.25" customHeight="1">
      <c r="A19" s="7">
        <f t="shared" si="2"/>
        <v>12</v>
      </c>
      <c r="B19" s="9" t="s">
        <v>30</v>
      </c>
      <c r="C19" s="7" t="s">
        <v>25</v>
      </c>
      <c r="D19" s="10">
        <v>0.08</v>
      </c>
      <c r="E19" s="10">
        <v>3901.1</v>
      </c>
      <c r="F19" s="8" t="s">
        <v>58</v>
      </c>
      <c r="G19" s="8">
        <v>12</v>
      </c>
      <c r="H19" s="59">
        <f t="shared" si="0"/>
        <v>312.08800000000002</v>
      </c>
      <c r="I19" s="11">
        <f t="shared" si="1"/>
        <v>3745.0560000000005</v>
      </c>
      <c r="J19" s="59">
        <f t="shared" si="3"/>
        <v>0.08</v>
      </c>
      <c r="K19" s="32"/>
      <c r="L19" s="32"/>
      <c r="M19" s="68"/>
      <c r="N19" s="70">
        <f t="shared" si="4"/>
        <v>0.10908342681600004</v>
      </c>
    </row>
    <row r="20" spans="1:15" ht="31.5">
      <c r="A20" s="7">
        <f t="shared" si="2"/>
        <v>13</v>
      </c>
      <c r="B20" s="9" t="s">
        <v>31</v>
      </c>
      <c r="C20" s="7" t="s">
        <v>32</v>
      </c>
      <c r="D20" s="10">
        <v>0.52</v>
      </c>
      <c r="E20" s="10">
        <v>3901.1</v>
      </c>
      <c r="F20" s="8" t="s">
        <v>21</v>
      </c>
      <c r="G20" s="8">
        <v>12</v>
      </c>
      <c r="H20" s="59">
        <f t="shared" si="0"/>
        <v>2028.5720000000001</v>
      </c>
      <c r="I20" s="11">
        <f t="shared" si="1"/>
        <v>24342.864000000001</v>
      </c>
      <c r="J20" s="59">
        <f t="shared" si="3"/>
        <v>0.52</v>
      </c>
      <c r="K20" s="32">
        <v>23200</v>
      </c>
      <c r="L20" s="32">
        <f>K20/12/E20</f>
        <v>0.49558671485820238</v>
      </c>
      <c r="M20" s="68"/>
      <c r="N20" s="73">
        <f>(J20*1.04*1.092*1.072+0.16)*1.12</f>
        <v>0.88824227430400027</v>
      </c>
      <c r="O20" s="23"/>
    </row>
    <row r="21" spans="1:15" ht="31.5">
      <c r="A21" s="7">
        <f t="shared" si="2"/>
        <v>14</v>
      </c>
      <c r="B21" s="64" t="s">
        <v>52</v>
      </c>
      <c r="C21" s="7" t="s">
        <v>33</v>
      </c>
      <c r="D21" s="10">
        <v>1.63</v>
      </c>
      <c r="E21" s="10">
        <v>3901.1</v>
      </c>
      <c r="F21" s="13" t="s">
        <v>54</v>
      </c>
      <c r="G21" s="8">
        <v>12</v>
      </c>
      <c r="H21" s="59">
        <f t="shared" si="0"/>
        <v>6358.7929999999997</v>
      </c>
      <c r="I21" s="11">
        <f t="shared" si="1"/>
        <v>76305.516000000003</v>
      </c>
      <c r="J21" s="59">
        <f t="shared" si="3"/>
        <v>1.6300000000000001</v>
      </c>
      <c r="K21" s="32">
        <v>331.2</v>
      </c>
      <c r="L21" s="32">
        <f>(4372.12+1011+42.41)*12</f>
        <v>65106.36</v>
      </c>
      <c r="M21" s="68">
        <f>L21*0.06+L21</f>
        <v>69012.741599999994</v>
      </c>
      <c r="N21" s="70">
        <f>J21*1.04*1.092*1.072*1.12</f>
        <v>2.2225748213760008</v>
      </c>
    </row>
    <row r="22" spans="1:15" ht="47.25">
      <c r="A22" s="7">
        <f t="shared" si="2"/>
        <v>15</v>
      </c>
      <c r="B22" s="64" t="s">
        <v>59</v>
      </c>
      <c r="C22" s="7" t="s">
        <v>34</v>
      </c>
      <c r="D22" s="10">
        <v>2.96</v>
      </c>
      <c r="E22" s="10">
        <v>3901.1</v>
      </c>
      <c r="F22" s="8" t="s">
        <v>35</v>
      </c>
      <c r="G22" s="8">
        <v>12</v>
      </c>
      <c r="H22" s="59">
        <f t="shared" si="0"/>
        <v>11547.255999999999</v>
      </c>
      <c r="I22" s="11">
        <f t="shared" si="1"/>
        <v>138567.07199999999</v>
      </c>
      <c r="J22" s="59">
        <f t="shared" si="3"/>
        <v>2.96</v>
      </c>
      <c r="K22" s="32">
        <v>750</v>
      </c>
      <c r="L22" s="32">
        <f>(5162.43+1011+488.82)*12</f>
        <v>79947</v>
      </c>
      <c r="M22" s="68">
        <f>L22*0.06+L22</f>
        <v>84743.82</v>
      </c>
      <c r="N22" s="70">
        <f>J22*1.04*1.092*1.072*1.12</f>
        <v>4.0360867921920018</v>
      </c>
    </row>
    <row r="23" spans="1:15" ht="31.5">
      <c r="A23" s="7">
        <f t="shared" si="2"/>
        <v>16</v>
      </c>
      <c r="B23" s="14" t="s">
        <v>36</v>
      </c>
      <c r="C23" s="15" t="s">
        <v>37</v>
      </c>
      <c r="D23" s="72">
        <f>5918.58*1.12</f>
        <v>6628.8096000000005</v>
      </c>
      <c r="E23" s="10">
        <v>2</v>
      </c>
      <c r="F23" s="13" t="s">
        <v>54</v>
      </c>
      <c r="G23" s="8">
        <v>12</v>
      </c>
      <c r="H23" s="59">
        <f t="shared" si="0"/>
        <v>13257.619200000001</v>
      </c>
      <c r="I23" s="11">
        <f t="shared" si="1"/>
        <v>159091.43040000001</v>
      </c>
      <c r="J23" s="59">
        <f>I23/12/D5</f>
        <v>3.3984310066391532</v>
      </c>
      <c r="K23" s="32"/>
      <c r="L23" s="32"/>
      <c r="M23" s="68"/>
      <c r="N23" s="70">
        <f>D23*E23/E22</f>
        <v>3.3984310066391532</v>
      </c>
    </row>
    <row r="24" spans="1:15">
      <c r="A24" s="7">
        <f t="shared" si="2"/>
        <v>17</v>
      </c>
      <c r="B24" s="14" t="s">
        <v>38</v>
      </c>
      <c r="C24" s="15" t="s">
        <v>13</v>
      </c>
      <c r="D24" s="10">
        <v>1.6400000000000001</v>
      </c>
      <c r="E24" s="10">
        <v>3901.1</v>
      </c>
      <c r="F24" s="13" t="s">
        <v>54</v>
      </c>
      <c r="G24" s="8">
        <v>12</v>
      </c>
      <c r="H24" s="59">
        <f t="shared" si="0"/>
        <v>6397.8040000000001</v>
      </c>
      <c r="I24" s="11">
        <f t="shared" si="1"/>
        <v>76773.648000000001</v>
      </c>
      <c r="J24" s="59">
        <f t="shared" si="3"/>
        <v>1.6400000000000001</v>
      </c>
      <c r="K24" s="32"/>
      <c r="L24" s="32"/>
      <c r="M24" s="68"/>
      <c r="N24" s="70">
        <f>J24*1.04*1.092*1.072*1.12</f>
        <v>2.2362102497280008</v>
      </c>
    </row>
    <row r="25" spans="1:15">
      <c r="A25" s="7">
        <f t="shared" si="2"/>
        <v>18</v>
      </c>
      <c r="B25" s="14" t="s">
        <v>39</v>
      </c>
      <c r="C25" s="15" t="s">
        <v>40</v>
      </c>
      <c r="D25" s="10">
        <v>0.13</v>
      </c>
      <c r="E25" s="10">
        <v>3901.1</v>
      </c>
      <c r="F25" s="13" t="s">
        <v>54</v>
      </c>
      <c r="G25" s="8">
        <v>12</v>
      </c>
      <c r="H25" s="59">
        <f t="shared" si="0"/>
        <v>507.14300000000003</v>
      </c>
      <c r="I25" s="11">
        <f t="shared" si="1"/>
        <v>6085.7160000000003</v>
      </c>
      <c r="J25" s="59">
        <f t="shared" si="3"/>
        <v>0.13</v>
      </c>
      <c r="K25" s="32"/>
      <c r="L25" s="32"/>
      <c r="M25" s="68"/>
      <c r="N25" s="70">
        <f t="shared" ref="N25:N26" si="5">J25*1.04*1.092*1.072*1.12</f>
        <v>0.17726056857600006</v>
      </c>
    </row>
    <row r="26" spans="1:15" ht="48.75" customHeight="1">
      <c r="A26" s="7">
        <f t="shared" si="2"/>
        <v>19</v>
      </c>
      <c r="B26" s="37" t="s">
        <v>41</v>
      </c>
      <c r="C26" s="12" t="s">
        <v>13</v>
      </c>
      <c r="D26" s="10">
        <v>1.27</v>
      </c>
      <c r="E26" s="10">
        <v>3901.1</v>
      </c>
      <c r="F26" s="13" t="s">
        <v>54</v>
      </c>
      <c r="G26" s="8">
        <v>12</v>
      </c>
      <c r="H26" s="59">
        <f t="shared" si="0"/>
        <v>4954.3969999999999</v>
      </c>
      <c r="I26" s="11">
        <f t="shared" si="1"/>
        <v>59452.763999999996</v>
      </c>
      <c r="J26" s="59">
        <f t="shared" si="3"/>
        <v>1.27</v>
      </c>
      <c r="K26" s="32"/>
      <c r="L26" s="32"/>
      <c r="M26" s="68"/>
      <c r="N26" s="70">
        <f t="shared" si="5"/>
        <v>1.7316994007040003</v>
      </c>
    </row>
    <row r="27" spans="1:15" s="40" customFormat="1">
      <c r="A27" s="104" t="s">
        <v>55</v>
      </c>
      <c r="B27" s="105"/>
      <c r="C27" s="105"/>
      <c r="D27" s="105"/>
      <c r="E27" s="105"/>
      <c r="F27" s="105"/>
      <c r="G27" s="110"/>
      <c r="H27" s="74">
        <f>SUM(H8:H26)</f>
        <v>54180.158199999991</v>
      </c>
      <c r="I27" s="74">
        <f>SUM(I8:I26)</f>
        <v>650161.89839999995</v>
      </c>
      <c r="J27" s="74">
        <f>SUM(J8:J26)</f>
        <v>13.888431006639154</v>
      </c>
      <c r="K27" s="74">
        <f t="shared" ref="K27:M27" si="6">SUM(K8:K26)</f>
        <v>24281.200000000001</v>
      </c>
      <c r="L27" s="74">
        <f t="shared" si="6"/>
        <v>145053.85558671487</v>
      </c>
      <c r="M27" s="74">
        <f t="shared" si="6"/>
        <v>153756.56160000002</v>
      </c>
      <c r="N27" s="74">
        <f>SUM(N8:N26)+0.01</f>
        <v>17.891195347887159</v>
      </c>
    </row>
    <row r="28" spans="1:15" s="3" customFormat="1">
      <c r="A28" s="41" t="s">
        <v>42</v>
      </c>
      <c r="B28" s="41"/>
      <c r="C28" s="41"/>
      <c r="D28" s="41"/>
      <c r="E28" s="41"/>
      <c r="F28" s="41"/>
      <c r="G28" s="60"/>
      <c r="H28" s="61"/>
      <c r="I28" s="61"/>
      <c r="J28" s="55"/>
      <c r="K28" s="30"/>
      <c r="L28" s="30"/>
      <c r="M28" s="30"/>
      <c r="N28" s="71"/>
    </row>
    <row r="29" spans="1:15" s="3" customFormat="1" ht="56.25" customHeight="1">
      <c r="A29" s="42" t="s">
        <v>2</v>
      </c>
      <c r="B29" s="42" t="s">
        <v>3</v>
      </c>
      <c r="C29" s="42" t="s">
        <v>4</v>
      </c>
      <c r="D29" s="42" t="s">
        <v>5</v>
      </c>
      <c r="E29" s="42" t="s">
        <v>6</v>
      </c>
      <c r="F29" s="43" t="s">
        <v>53</v>
      </c>
      <c r="G29" s="43"/>
      <c r="H29" s="33" t="s">
        <v>7</v>
      </c>
      <c r="I29" s="33" t="s">
        <v>8</v>
      </c>
      <c r="J29" s="65" t="s">
        <v>45</v>
      </c>
      <c r="K29" s="33"/>
      <c r="L29" s="33"/>
      <c r="M29" s="69"/>
      <c r="N29" s="65" t="s">
        <v>45</v>
      </c>
    </row>
    <row r="30" spans="1:15" s="3" customFormat="1" ht="28.15" customHeight="1">
      <c r="A30" s="42">
        <v>1</v>
      </c>
      <c r="B30" s="44" t="s">
        <v>42</v>
      </c>
      <c r="C30" s="45"/>
      <c r="D30" s="16">
        <v>2.09</v>
      </c>
      <c r="E30" s="42">
        <v>3901.1</v>
      </c>
      <c r="F30" s="43" t="s">
        <v>43</v>
      </c>
      <c r="G30" s="43">
        <v>12</v>
      </c>
      <c r="H30" s="33"/>
      <c r="I30" s="33">
        <f>D30*E30*G30</f>
        <v>97839.587999999989</v>
      </c>
      <c r="J30" s="62">
        <f>I30/G30/E30</f>
        <v>2.09</v>
      </c>
      <c r="K30" s="33"/>
      <c r="L30" s="33"/>
      <c r="M30" s="69"/>
      <c r="N30" s="71">
        <f>(J30*1.04*1.092*1.072+0.62)*1.12</f>
        <v>3.5442045255680013</v>
      </c>
    </row>
    <row r="31" spans="1:15" s="3" customFormat="1" ht="36.6" customHeight="1">
      <c r="A31" s="42">
        <v>2</v>
      </c>
      <c r="B31" s="38" t="s">
        <v>9</v>
      </c>
      <c r="C31" s="42" t="s">
        <v>10</v>
      </c>
      <c r="D31" s="72">
        <f>15.97*1.072*1.12</f>
        <v>19.174220800000001</v>
      </c>
      <c r="E31" s="16">
        <v>1800</v>
      </c>
      <c r="F31" s="43" t="s">
        <v>43</v>
      </c>
      <c r="G31" s="43">
        <v>1</v>
      </c>
      <c r="H31" s="62">
        <f>D31*E31</f>
        <v>34513.597439999998</v>
      </c>
      <c r="I31" s="33">
        <f>G31*H31</f>
        <v>34513.597439999998</v>
      </c>
      <c r="J31" s="62">
        <f>I31/12/E30</f>
        <v>0.73726208505293378</v>
      </c>
      <c r="K31" s="33"/>
      <c r="L31" s="33"/>
      <c r="M31" s="69"/>
      <c r="N31" s="71">
        <f>D31*E31/E30/12</f>
        <v>0.73726208505293378</v>
      </c>
    </row>
    <row r="32" spans="1:15" s="3" customFormat="1" ht="34.5" customHeight="1">
      <c r="A32" s="42">
        <f>A31+1</f>
        <v>3</v>
      </c>
      <c r="B32" s="38" t="s">
        <v>11</v>
      </c>
      <c r="C32" s="42" t="s">
        <v>10</v>
      </c>
      <c r="D32" s="72">
        <f>11.52*1.072*1.12</f>
        <v>13.8313728</v>
      </c>
      <c r="E32" s="16">
        <v>1800</v>
      </c>
      <c r="F32" s="43" t="s">
        <v>43</v>
      </c>
      <c r="G32" s="43">
        <v>1</v>
      </c>
      <c r="H32" s="62">
        <f>D32*E32</f>
        <v>24896.47104</v>
      </c>
      <c r="I32" s="33">
        <f>G32*H32</f>
        <v>24896.47104</v>
      </c>
      <c r="J32" s="62">
        <f>I32/12/E30</f>
        <v>0.5318258747532747</v>
      </c>
      <c r="K32" s="33"/>
      <c r="L32" s="33"/>
      <c r="M32" s="69"/>
      <c r="N32" s="71">
        <f>D32*E32/E30/12</f>
        <v>0.53182587475327481</v>
      </c>
    </row>
    <row r="33" spans="1:15" s="46" customFormat="1">
      <c r="A33" s="107" t="s">
        <v>55</v>
      </c>
      <c r="B33" s="108"/>
      <c r="C33" s="108"/>
      <c r="D33" s="108"/>
      <c r="E33" s="108"/>
      <c r="F33" s="108"/>
      <c r="G33" s="109"/>
      <c r="H33" s="75"/>
      <c r="I33" s="75">
        <f>SUM(I30:I32)</f>
        <v>157249.65647999998</v>
      </c>
      <c r="J33" s="75">
        <f>SUM(J30:J32)</f>
        <v>3.3590879598062084</v>
      </c>
      <c r="K33" s="75">
        <f t="shared" ref="K33:M33" si="7">SUM(K30:K32)</f>
        <v>0</v>
      </c>
      <c r="L33" s="75">
        <f t="shared" si="7"/>
        <v>0</v>
      </c>
      <c r="M33" s="75">
        <f t="shared" si="7"/>
        <v>0</v>
      </c>
      <c r="N33" s="75">
        <f>SUM(N30:N32)-0.005</f>
        <v>4.8082924853742099</v>
      </c>
      <c r="O33" s="76"/>
    </row>
    <row r="34" spans="1:15" s="40" customFormat="1">
      <c r="A34" s="104" t="s">
        <v>57</v>
      </c>
      <c r="B34" s="105"/>
      <c r="C34" s="105"/>
      <c r="D34" s="105"/>
      <c r="E34" s="105"/>
      <c r="F34" s="106"/>
      <c r="G34" s="77">
        <f>I34/12/E30</f>
        <v>17.247518966445362</v>
      </c>
      <c r="H34" s="78"/>
      <c r="I34" s="79">
        <f>SUM(I27+I33)</f>
        <v>807411.55487999995</v>
      </c>
      <c r="J34" s="74">
        <f>J27+J33</f>
        <v>17.247518966445362</v>
      </c>
      <c r="K34" s="74">
        <f t="shared" ref="K34:N34" si="8">K27+K33</f>
        <v>24281.200000000001</v>
      </c>
      <c r="L34" s="74">
        <f t="shared" si="8"/>
        <v>145053.85558671487</v>
      </c>
      <c r="M34" s="74">
        <f t="shared" si="8"/>
        <v>153756.56160000002</v>
      </c>
      <c r="N34" s="74">
        <f t="shared" si="8"/>
        <v>22.699487833261369</v>
      </c>
      <c r="O34" s="66"/>
    </row>
    <row r="35" spans="1:15" s="3" customFormat="1">
      <c r="A35" s="80" t="s">
        <v>56</v>
      </c>
      <c r="B35" s="80"/>
      <c r="C35" s="80"/>
      <c r="D35" s="80"/>
      <c r="E35" s="80"/>
      <c r="F35" s="80"/>
      <c r="G35" s="81"/>
      <c r="H35" s="82"/>
      <c r="I35" s="82"/>
      <c r="J35" s="83"/>
      <c r="K35" s="84"/>
      <c r="L35" s="84"/>
      <c r="M35" s="84"/>
      <c r="N35" s="97"/>
      <c r="O35" s="98"/>
    </row>
    <row r="36" spans="1:15" ht="63">
      <c r="A36" s="85">
        <v>1</v>
      </c>
      <c r="B36" s="86" t="s">
        <v>61</v>
      </c>
      <c r="C36" s="87" t="s">
        <v>13</v>
      </c>
      <c r="D36" s="88">
        <v>1.98</v>
      </c>
      <c r="E36" s="88">
        <v>3901.1</v>
      </c>
      <c r="F36" s="13" t="s">
        <v>24</v>
      </c>
      <c r="G36" s="8">
        <v>12</v>
      </c>
      <c r="H36" s="89">
        <f>D36*E36</f>
        <v>7724.1779999999999</v>
      </c>
      <c r="I36" s="11">
        <f>G36*H36</f>
        <v>92690.135999999999</v>
      </c>
      <c r="J36" s="89">
        <f>I36/G36/E36</f>
        <v>1.98</v>
      </c>
      <c r="K36" s="84"/>
      <c r="L36" s="84"/>
      <c r="M36" s="84"/>
      <c r="N36" s="73">
        <v>2.4500000000000002</v>
      </c>
      <c r="O36" s="23"/>
    </row>
    <row r="37" spans="1:15" s="66" customFormat="1">
      <c r="A37" s="94" t="s">
        <v>60</v>
      </c>
      <c r="B37" s="95"/>
      <c r="C37" s="95"/>
      <c r="D37" s="95"/>
      <c r="E37" s="95"/>
      <c r="F37" s="96"/>
      <c r="G37" s="90">
        <f>G34+D36</f>
        <v>19.227518966445363</v>
      </c>
      <c r="H37" s="91"/>
      <c r="I37" s="92"/>
      <c r="J37" s="93">
        <f>J36+J34</f>
        <v>19.227518966445363</v>
      </c>
      <c r="K37" s="93">
        <f t="shared" ref="K37:N37" si="9">K36+K34</f>
        <v>24281.200000000001</v>
      </c>
      <c r="L37" s="93">
        <f t="shared" si="9"/>
        <v>145053.85558671487</v>
      </c>
      <c r="M37" s="93">
        <f t="shared" si="9"/>
        <v>153756.56160000002</v>
      </c>
      <c r="N37" s="93">
        <f t="shared" si="9"/>
        <v>25.149487833261368</v>
      </c>
    </row>
    <row r="38" spans="1:15" ht="6.75" customHeight="1">
      <c r="A38" s="24"/>
      <c r="B38" s="24"/>
      <c r="C38" s="24"/>
      <c r="D38" s="24"/>
      <c r="E38" s="24"/>
      <c r="F38" s="24"/>
      <c r="G38" s="47"/>
      <c r="H38" s="48"/>
      <c r="I38" s="48"/>
    </row>
    <row r="39" spans="1:15" ht="13.15" customHeight="1">
      <c r="A39" s="17" t="s">
        <v>44</v>
      </c>
      <c r="B39" s="99" t="s">
        <v>63</v>
      </c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</row>
    <row r="40" spans="1:15">
      <c r="A40" s="24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</row>
    <row r="41" spans="1:15" ht="30.75" customHeight="1">
      <c r="A41" s="24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</row>
    <row r="42" spans="1:15">
      <c r="A42" s="24"/>
      <c r="B42" s="24"/>
      <c r="C42" s="24"/>
      <c r="D42" s="24"/>
      <c r="E42" s="24"/>
      <c r="F42" s="18"/>
      <c r="G42" s="49"/>
      <c r="H42" s="48"/>
      <c r="I42" s="48"/>
      <c r="K42" s="34"/>
      <c r="L42" s="34"/>
    </row>
    <row r="43" spans="1:15" s="21" customFormat="1">
      <c r="A43" s="19"/>
      <c r="B43" s="20"/>
      <c r="C43" s="19"/>
      <c r="D43" s="20"/>
      <c r="F43" s="22"/>
      <c r="G43" s="50"/>
      <c r="H43" s="51"/>
      <c r="I43" s="51"/>
      <c r="J43" s="63"/>
      <c r="K43" s="35"/>
      <c r="L43" s="35"/>
      <c r="M43" s="36"/>
    </row>
    <row r="44" spans="1:15" s="21" customFormat="1" ht="37.9" customHeight="1">
      <c r="A44" s="19"/>
      <c r="B44" s="19"/>
      <c r="C44" s="19"/>
      <c r="D44" s="20"/>
      <c r="E44" s="19"/>
      <c r="F44" s="22"/>
      <c r="G44" s="50"/>
      <c r="H44" s="51"/>
      <c r="I44" s="51"/>
      <c r="J44" s="63"/>
      <c r="K44" s="35"/>
      <c r="L44" s="35"/>
      <c r="M44" s="36"/>
    </row>
  </sheetData>
  <mergeCells count="9">
    <mergeCell ref="A37:F37"/>
    <mergeCell ref="N35:O35"/>
    <mergeCell ref="B39:N41"/>
    <mergeCell ref="E2:O2"/>
    <mergeCell ref="A3:N3"/>
    <mergeCell ref="K6:M6"/>
    <mergeCell ref="A34:F34"/>
    <mergeCell ref="A33:G33"/>
    <mergeCell ref="A27:G27"/>
  </mergeCells>
  <printOptions horizontalCentered="1" verticalCentered="1"/>
  <pageMargins left="0.43307086614173229" right="0.11811023622047245" top="0.27559055118110237" bottom="0.11811023622047245" header="0.39370078740157483" footer="0.31496062992125984"/>
  <pageSetup paperSize="9" scale="58" orientation="portrait" r:id="rId1"/>
  <colBreaks count="1" manualBreakCount="1">
    <brk id="13" max="45" man="1"/>
  </colBreaks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2024-10-29T07:46:33Z</dcterms:modified>
</cp:coreProperties>
</file>